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tordagmbh.sharepoint.com/sites/mwe-na/Shared Documents/CALCULATION SHEETS/"/>
    </mc:Choice>
  </mc:AlternateContent>
  <xr:revisionPtr revIDLastSave="85" documentId="11_5BA6ED3CDC935DE350A04EE6D093F1091C2C18AC" xr6:coauthVersionLast="47" xr6:coauthVersionMax="47" xr10:uidLastSave="{13883586-BA10-4C10-988C-5AA18CAA4827}"/>
  <bookViews>
    <workbookView xWindow="-120" yWindow="-120" windowWidth="29040" windowHeight="15840" xr2:uid="{00000000-000D-0000-FFFF-FFFF00000000}"/>
  </bookViews>
  <sheets>
    <sheet name="Eingabe" sheetId="1" r:id="rId1"/>
    <sheet name="Daten" sheetId="2" state="hidden" r:id="rId2"/>
  </sheets>
  <definedNames>
    <definedName name="abzugoben">Daten!$E$5</definedName>
    <definedName name="abzugunten">Daten!$E$6</definedName>
    <definedName name="alpha">Daten!$E$12</definedName>
    <definedName name="alpharad">Daten!$E$14</definedName>
    <definedName name="datum_jetzt">Daten!$E$25</definedName>
    <definedName name="gesamthoehe">Daten!$E$4</definedName>
    <definedName name="holmform">Daten!$E$28</definedName>
    <definedName name="leiterabstand">Daten!$E$18</definedName>
    <definedName name="leiterabstand_print">Daten!$E$21</definedName>
    <definedName name="leiterhoehe">Daten!$E$7</definedName>
    <definedName name="leiterlaenge">Daten!$E$17</definedName>
    <definedName name="leiterlaenge_PreisNetto">Daten!$E$23</definedName>
    <definedName name="leiterlaenge_print">Daten!$E$20</definedName>
    <definedName name="leitertyp">Daten!$E$29</definedName>
    <definedName name="wabstand">Daten!$E$10</definedName>
    <definedName name="wandabstand">Daten!$E$10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2" l="1"/>
  <c r="K35" i="2"/>
  <c r="K34" i="2"/>
  <c r="E29" i="2"/>
  <c r="O14" i="2" s="1"/>
  <c r="E28" i="2"/>
  <c r="D26" i="2"/>
  <c r="E25" i="2"/>
  <c r="D25" i="2"/>
  <c r="D24" i="2"/>
  <c r="D23" i="2"/>
  <c r="D22" i="2"/>
  <c r="D21" i="2"/>
  <c r="D20" i="2"/>
  <c r="D19" i="2"/>
  <c r="D18" i="2"/>
  <c r="D17" i="2"/>
  <c r="D16" i="2"/>
  <c r="D15" i="2"/>
  <c r="D14" i="2"/>
  <c r="R13" i="2"/>
  <c r="Q13" i="2"/>
  <c r="L13" i="2"/>
  <c r="K13" i="2"/>
  <c r="AA12" i="2"/>
  <c r="R12" i="2"/>
  <c r="Q12" i="2"/>
  <c r="L12" i="2"/>
  <c r="K12" i="2"/>
  <c r="E12" i="2"/>
  <c r="E14" i="2" s="1"/>
  <c r="D12" i="2"/>
  <c r="R11" i="2"/>
  <c r="Q11" i="2"/>
  <c r="L11" i="2"/>
  <c r="K11" i="2"/>
  <c r="D10" i="2"/>
  <c r="D8" i="2"/>
  <c r="D7" i="2"/>
  <c r="D6" i="2"/>
  <c r="D5" i="2"/>
  <c r="E4" i="2"/>
  <c r="D4" i="2"/>
  <c r="C12" i="1"/>
  <c r="E10" i="2" s="1"/>
  <c r="D8" i="1"/>
  <c r="U10" i="2" l="1"/>
  <c r="N7" i="2"/>
  <c r="U14" i="2"/>
  <c r="E6" i="2"/>
  <c r="T9" i="2"/>
  <c r="N5" i="2"/>
  <c r="N6" i="2"/>
  <c r="O7" i="2"/>
  <c r="U8" i="2"/>
  <c r="U9" i="2"/>
  <c r="U5" i="2"/>
  <c r="O6" i="2"/>
  <c r="T7" i="2"/>
  <c r="N9" i="2"/>
  <c r="T11" i="2"/>
  <c r="T12" i="2"/>
  <c r="O13" i="2"/>
  <c r="O15" i="2"/>
  <c r="U13" i="2"/>
  <c r="U7" i="2"/>
  <c r="O9" i="2"/>
  <c r="T10" i="2"/>
  <c r="N11" i="2"/>
  <c r="U11" i="2"/>
  <c r="T14" i="2"/>
  <c r="U12" i="2"/>
  <c r="T13" i="2"/>
  <c r="N15" i="2"/>
  <c r="K19" i="2"/>
  <c r="F14" i="1" s="1"/>
  <c r="T6" i="2"/>
  <c r="N8" i="2"/>
  <c r="O11" i="2"/>
  <c r="T15" i="2"/>
  <c r="O5" i="2"/>
  <c r="U6" i="2"/>
  <c r="O8" i="2"/>
  <c r="N10" i="2"/>
  <c r="N12" i="2"/>
  <c r="N14" i="2"/>
  <c r="U15" i="2"/>
  <c r="T5" i="2"/>
  <c r="T8" i="2"/>
  <c r="O10" i="2"/>
  <c r="O12" i="2"/>
  <c r="N13" i="2"/>
  <c r="K20" i="2"/>
  <c r="K21" i="2"/>
  <c r="N16" i="2" l="1"/>
  <c r="U16" i="2"/>
  <c r="T16" i="2"/>
  <c r="O16" i="2"/>
  <c r="E47" i="1"/>
  <c r="E35" i="1"/>
  <c r="D47" i="1"/>
  <c r="D35" i="1"/>
  <c r="D38" i="1"/>
  <c r="E56" i="1"/>
  <c r="E55" i="1" s="1"/>
  <c r="E50" i="1"/>
  <c r="E38" i="1"/>
  <c r="D50" i="1"/>
  <c r="E54" i="1"/>
  <c r="E53" i="1" s="1"/>
  <c r="E41" i="1"/>
  <c r="D41" i="1"/>
  <c r="E44" i="1"/>
  <c r="D44" i="1"/>
  <c r="E5" i="2" l="1"/>
  <c r="E7" i="2" s="1"/>
  <c r="E17" i="2" s="1"/>
  <c r="E8" i="2"/>
  <c r="E52" i="1"/>
  <c r="E51" i="1"/>
  <c r="E49" i="1"/>
  <c r="E48" i="1"/>
  <c r="E46" i="1"/>
  <c r="E45" i="1"/>
  <c r="E43" i="1"/>
  <c r="E42" i="1"/>
  <c r="E40" i="1"/>
  <c r="E39" i="1"/>
  <c r="E37" i="1"/>
  <c r="E36" i="1"/>
  <c r="D52" i="1"/>
  <c r="D51" i="1"/>
  <c r="D49" i="1"/>
  <c r="D48" i="1"/>
  <c r="D46" i="1"/>
  <c r="D45" i="1"/>
  <c r="D42" i="1"/>
  <c r="D43" i="1"/>
  <c r="D40" i="1"/>
  <c r="D39" i="1"/>
  <c r="D37" i="1"/>
  <c r="D36" i="1"/>
  <c r="E18" i="2" l="1"/>
  <c r="E21" i="2" s="1"/>
  <c r="C23" i="1" s="1"/>
  <c r="F36" i="2"/>
  <c r="F37" i="2" s="1"/>
  <c r="F38" i="2" s="1"/>
  <c r="E20" i="2"/>
  <c r="C21" i="1" s="1"/>
  <c r="F39" i="2" l="1"/>
  <c r="C29" i="1" s="1"/>
  <c r="C27" i="1"/>
  <c r="I43" i="2"/>
  <c r="F43" i="2"/>
  <c r="H43" i="2" s="1"/>
  <c r="F44" i="2" s="1"/>
  <c r="I44" i="2" l="1"/>
  <c r="H44" i="2"/>
  <c r="F45" i="2" l="1"/>
  <c r="I45" i="2"/>
  <c r="H45" i="2" l="1"/>
  <c r="I46" i="2" l="1"/>
  <c r="F46" i="2"/>
  <c r="H46" i="2" l="1"/>
  <c r="I47" i="2" l="1"/>
  <c r="F47" i="2"/>
  <c r="H47" i="2" l="1"/>
  <c r="F48" i="2" l="1"/>
  <c r="I48" i="2"/>
  <c r="H48" i="2" l="1"/>
  <c r="I49" i="2" l="1"/>
  <c r="F49" i="2"/>
  <c r="H49" i="2" l="1"/>
  <c r="I50" i="2" l="1"/>
  <c r="F50" i="2"/>
  <c r="H50" i="2" s="1"/>
</calcChain>
</file>

<file path=xl/sharedStrings.xml><?xml version="1.0" encoding="utf-8"?>
<sst xmlns="http://schemas.openxmlformats.org/spreadsheetml/2006/main" count="174" uniqueCount="134">
  <si>
    <t>Input fields</t>
  </si>
  <si>
    <t>Stringer form</t>
  </si>
  <si>
    <t>square_akzent</t>
  </si>
  <si>
    <t>Ladder type</t>
  </si>
  <si>
    <t>industrial AK Quattro (6022.Q)</t>
  </si>
  <si>
    <t>Rail height</t>
  </si>
  <si>
    <t>mm</t>
  </si>
  <si>
    <t>Wall projection</t>
  </si>
  <si>
    <t>Ladder angle</t>
  </si>
  <si>
    <t>°</t>
  </si>
  <si>
    <t>(Standard angle:</t>
  </si>
  <si>
    <t>°)</t>
  </si>
  <si>
    <t>Input field filled in red = custom angle! Calculated values for ladders with custom angles may be inaccurate in some cases!</t>
  </si>
  <si>
    <t>Results</t>
  </si>
  <si>
    <t>Ladder</t>
  </si>
  <si>
    <t>Stringer length (blank cut)</t>
  </si>
  <si>
    <t>Ladder projection at base</t>
  </si>
  <si>
    <t>Hand rail</t>
  </si>
  <si>
    <t>hand rail length</t>
  </si>
  <si>
    <t>Number of holders (per rail)</t>
  </si>
  <si>
    <t>Stück</t>
  </si>
  <si>
    <t>Steps</t>
  </si>
  <si>
    <t>No. Of steps Klassik</t>
  </si>
  <si>
    <t>No. Of steps Akzent</t>
  </si>
  <si>
    <t>Simple ladder</t>
  </si>
  <si>
    <t>SL.6000</t>
  </si>
  <si>
    <t>SL.6000.H</t>
  </si>
  <si>
    <t>SL.6000.E</t>
  </si>
  <si>
    <t>(Tangens) Hook ladder</t>
  </si>
  <si>
    <t>SL.6001</t>
  </si>
  <si>
    <t>6001/6008</t>
  </si>
  <si>
    <t>SL.6001.H</t>
  </si>
  <si>
    <t>SL.6001.E</t>
  </si>
  <si>
    <t>(Tangens) Sliding ladder</t>
  </si>
  <si>
    <t>SL.6002</t>
  </si>
  <si>
    <t>6002/6006</t>
  </si>
  <si>
    <t>SL.6002.H</t>
  </si>
  <si>
    <t>SL.6002.E</t>
  </si>
  <si>
    <t>(Tangens) Telescopic ladder</t>
  </si>
  <si>
    <t>SL.6003</t>
  </si>
  <si>
    <t>6003/6007</t>
  </si>
  <si>
    <t>SL.6003.H</t>
  </si>
  <si>
    <t>SL.6003.E</t>
  </si>
  <si>
    <t>Vario ladder</t>
  </si>
  <si>
    <t>SL.6004</t>
  </si>
  <si>
    <t>SL.6004.H</t>
  </si>
  <si>
    <t>SL.6004.E</t>
  </si>
  <si>
    <t>Vario telescopic ladder</t>
  </si>
  <si>
    <t>SL.6005</t>
  </si>
  <si>
    <t>SL.6005.H</t>
  </si>
  <si>
    <t>SL.6005.E</t>
  </si>
  <si>
    <t>Industrial ladder</t>
  </si>
  <si>
    <t>SL.6022.A.H</t>
  </si>
  <si>
    <t>SL.6022.A.E</t>
  </si>
  <si>
    <t>SL.6022.Q.H</t>
  </si>
  <si>
    <t>SL.6022.Q.E</t>
  </si>
  <si>
    <t>Bezeichnung</t>
  </si>
  <si>
    <t>:</t>
  </si>
  <si>
    <t>Wert</t>
  </si>
  <si>
    <t>Einheit</t>
  </si>
  <si>
    <t>Feldname</t>
  </si>
  <si>
    <t>Formel</t>
  </si>
  <si>
    <t>Abzugsmaße Stand 18.12.2023</t>
  </si>
  <si>
    <t>round_klassik</t>
  </si>
  <si>
    <t>Wandabstände</t>
  </si>
  <si>
    <t>Gesamthöhe</t>
  </si>
  <si>
    <t>gesamthoehe</t>
  </si>
  <si>
    <t>abzugoben</t>
  </si>
  <si>
    <t>abzugseite</t>
  </si>
  <si>
    <t>abzugstufe</t>
  </si>
  <si>
    <t>Abzug oben</t>
  </si>
  <si>
    <t>simple ladder (6000)</t>
  </si>
  <si>
    <t>Abzug unten</t>
  </si>
  <si>
    <t>abzugunten</t>
  </si>
  <si>
    <t>hook ladder (6001)</t>
  </si>
  <si>
    <t>Höhe Leiter</t>
  </si>
  <si>
    <t>leiterhoehe</t>
  </si>
  <si>
    <t>=gesamthoehe - abzugoben - abzugunten</t>
  </si>
  <si>
    <t>sliding ladder (6002)</t>
  </si>
  <si>
    <t>Abzug-Seite</t>
  </si>
  <si>
    <t>telescopic ladder (6003)</t>
  </si>
  <si>
    <t>vario ladder (6004)</t>
  </si>
  <si>
    <t>Wandabstand</t>
  </si>
  <si>
    <t>vario telescopic ladder (6005)</t>
  </si>
  <si>
    <t>tangens hook ladder (6008)</t>
  </si>
  <si>
    <t>Anlehnwinkel</t>
  </si>
  <si>
    <t>alpha</t>
  </si>
  <si>
    <t>tangens sliding ladder (6006)</t>
  </si>
  <si>
    <t>tangens telescopic ladder (6007)</t>
  </si>
  <si>
    <t>Bogenmaß</t>
  </si>
  <si>
    <t>alpharad</t>
  </si>
  <si>
    <t>=BOGENMASS(alpha)</t>
  </si>
  <si>
    <t>industrial AK (6022.A)</t>
  </si>
  <si>
    <t>Leiterlänge</t>
  </si>
  <si>
    <t>leiterlaenge</t>
  </si>
  <si>
    <t>=leiterhoehe / COS(alpharad)</t>
  </si>
  <si>
    <t>Leiterabstand</t>
  </si>
  <si>
    <t>leiterabstand</t>
  </si>
  <si>
    <t>=leiterlaenge * SIN(alpharad)</t>
  </si>
  <si>
    <t>Standardwinkel</t>
  </si>
  <si>
    <t>leiterlaenge_print</t>
  </si>
  <si>
    <t>=RUNDEN(leiterlaenge;0) &amp; " mm"</t>
  </si>
  <si>
    <t>Stufenabst. vertikal</t>
  </si>
  <si>
    <t>leiterabstand_print</t>
  </si>
  <si>
    <t>=RUNDEN(leiterabstand;0) &amp; " mm"</t>
  </si>
  <si>
    <t>min. Abst. Oberste Sprosse vertikal (Holzstufen)</t>
  </si>
  <si>
    <t>Aufpreis</t>
  </si>
  <si>
    <t>Euro</t>
  </si>
  <si>
    <t>leiterlaenge_PreisNetto</t>
  </si>
  <si>
    <t>(Für Google Sheets Kompatibilität)</t>
  </si>
  <si>
    <t>Datum</t>
  </si>
  <si>
    <t>datum_jetzt</t>
  </si>
  <si>
    <t>=JETZT()</t>
  </si>
  <si>
    <t>holmform</t>
  </si>
  <si>
    <t>leitertyp</t>
  </si>
  <si>
    <t>Eingabewerte</t>
  </si>
  <si>
    <t>Ausgabewerte</t>
  </si>
  <si>
    <t>Relinglänge:
(Vorauslegung)</t>
  </si>
  <si>
    <t>Restholm:</t>
  </si>
  <si>
    <t>Relinglänge:</t>
  </si>
  <si>
    <t>Befestigungspunkte:</t>
  </si>
  <si>
    <t>Befestigungsabstände:</t>
  </si>
  <si>
    <t>Abstände</t>
  </si>
  <si>
    <t>Zwischenwerte</t>
  </si>
  <si>
    <t>Kontrollwerte</t>
  </si>
  <si>
    <t>Abschnitt 1</t>
  </si>
  <si>
    <t>Abschnitt 2</t>
  </si>
  <si>
    <t>Abschnitt 3</t>
  </si>
  <si>
    <t>Abschnitt 4</t>
  </si>
  <si>
    <t>Abschnitt 5</t>
  </si>
  <si>
    <t>Abschnitt 6</t>
  </si>
  <si>
    <t>Abschnitt 7</t>
  </si>
  <si>
    <t>Abschnitt 8</t>
  </si>
  <si>
    <t>Abschnitt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</si>
</sst>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7">
    <font>
      <sz val="11"/>
      <color theme="1"/>
      <name val="Calibri"/>
      <scheme val="minor"/>
    </font>
    <font>
      <sz val="11"/>
      <color theme="1"/>
      <name val="Calibri"/>
    </font>
    <font>
      <sz val="11"/>
      <name val="Calibri"/>
    </font>
    <font>
      <b/>
      <u/>
      <sz val="16"/>
      <color rgb="FFC0C0C0"/>
      <name val="Arial"/>
    </font>
    <font>
      <b/>
      <sz val="12"/>
      <color theme="1"/>
      <name val="Calibri"/>
    </font>
    <font>
      <b/>
      <sz val="11"/>
      <color rgb="FFFF0000"/>
      <name val="Calibri"/>
    </font>
    <font>
      <b/>
      <u/>
      <sz val="12"/>
      <color theme="1"/>
      <name val="Arial"/>
    </font>
    <font>
      <b/>
      <sz val="11"/>
      <color rgb="FF3F3F3F"/>
      <name val="Calibri"/>
    </font>
    <font>
      <b/>
      <sz val="11"/>
      <color theme="1"/>
      <name val="Calibri"/>
    </font>
    <font>
      <sz val="11"/>
      <color rgb="FF9C6500"/>
      <name val="Calibri"/>
    </font>
    <font>
      <b/>
      <sz val="11"/>
      <color theme="0"/>
      <name val="Calibri"/>
    </font>
    <font>
      <b/>
      <i/>
      <sz val="11"/>
      <color theme="1"/>
      <name val="Calibri"/>
    </font>
    <font>
      <b/>
      <sz val="11"/>
      <color rgb="FF00B050"/>
      <name val="Calibri"/>
    </font>
    <font>
      <sz val="11"/>
      <color rgb="FFFF0000"/>
      <name val="Calibri"/>
    </font>
    <font>
      <sz val="11"/>
      <color theme="0"/>
      <name val="Calibri"/>
    </font>
    <font>
      <b/>
      <sz val="8"/>
      <color rgb="FF666666"/>
      <name val="Verdana"/>
    </font>
    <font>
      <sz val="11"/>
      <color rgb="FF00B050"/>
      <name val="Calibri"/>
    </font>
  </fonts>
  <fills count="14">
    <fill>
      <patternFill patternType="none"/>
    </fill>
    <fill>
      <patternFill patternType="gray125"/>
    </fill>
    <fill>
      <patternFill patternType="solid">
        <fgColor rgb="FF3366FF"/>
        <bgColor rgb="FF3366FF"/>
      </patternFill>
    </fill>
    <fill>
      <patternFill patternType="solid">
        <fgColor rgb="FFF2F2F2"/>
        <bgColor rgb="FFF2F2F2"/>
      </patternFill>
    </fill>
    <fill>
      <patternFill patternType="solid">
        <fgColor rgb="FF7F7F7F"/>
        <bgColor rgb="FF7F7F7F"/>
      </patternFill>
    </fill>
    <fill>
      <patternFill patternType="solid">
        <fgColor rgb="FFD8D8D8"/>
        <bgColor rgb="FFD8D8D8"/>
      </patternFill>
    </fill>
    <fill>
      <patternFill patternType="solid">
        <fgColor rgb="FFE2EFD9"/>
        <bgColor rgb="FFE2EFD9"/>
      </patternFill>
    </fill>
    <fill>
      <patternFill patternType="solid">
        <fgColor rgb="FFFFEB9C"/>
        <bgColor rgb="FFFFEB9C"/>
      </patternFill>
    </fill>
    <fill>
      <patternFill patternType="solid">
        <fgColor theme="4"/>
        <bgColor theme="4"/>
      </patternFill>
    </fill>
    <fill>
      <patternFill patternType="solid">
        <fgColor rgb="FF92D050"/>
        <bgColor rgb="FF92D050"/>
      </patternFill>
    </fill>
    <fill>
      <patternFill patternType="solid">
        <fgColor rgb="FFFF0000"/>
        <bgColor rgb="FFFF0000"/>
      </patternFill>
    </fill>
    <fill>
      <patternFill patternType="solid">
        <fgColor rgb="FF00B050"/>
        <bgColor rgb="FF00B050"/>
      </patternFill>
    </fill>
    <fill>
      <patternFill patternType="solid">
        <fgColor rgb="FFE7E6E6"/>
        <bgColor rgb="FFE7E6E6"/>
      </patternFill>
    </fill>
    <fill>
      <patternFill patternType="solid">
        <fgColor theme="6"/>
        <bgColor theme="6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3F3F3F"/>
      </right>
      <top style="medium">
        <color rgb="FF000000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rgb="FF000000"/>
      </top>
      <bottom style="thin">
        <color rgb="FF3F3F3F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3F3F3F"/>
      </right>
      <top style="thin">
        <color rgb="FF3F3F3F"/>
      </top>
      <bottom style="medium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2" borderId="2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4" borderId="6" xfId="0" applyFont="1" applyFill="1" applyBorder="1"/>
    <xf numFmtId="0" fontId="8" fillId="5" borderId="7" xfId="0" applyFont="1" applyFill="1" applyBorder="1"/>
    <xf numFmtId="0" fontId="8" fillId="5" borderId="6" xfId="0" applyFont="1" applyFill="1" applyBorder="1" applyAlignment="1">
      <alignment wrapText="1"/>
    </xf>
    <xf numFmtId="0" fontId="1" fillId="5" borderId="8" xfId="0" applyFont="1" applyFill="1" applyBorder="1"/>
    <xf numFmtId="0" fontId="1" fillId="0" borderId="9" xfId="0" applyFont="1" applyBorder="1"/>
    <xf numFmtId="0" fontId="1" fillId="6" borderId="10" xfId="0" applyFont="1" applyFill="1" applyBorder="1"/>
    <xf numFmtId="0" fontId="1" fillId="6" borderId="11" xfId="0" applyFont="1" applyFill="1" applyBorder="1"/>
    <xf numFmtId="49" fontId="1" fillId="5" borderId="12" xfId="0" applyNumberFormat="1" applyFont="1" applyFill="1" applyBorder="1"/>
    <xf numFmtId="0" fontId="1" fillId="0" borderId="13" xfId="0" applyFont="1" applyBorder="1"/>
    <xf numFmtId="0" fontId="1" fillId="6" borderId="14" xfId="0" applyFont="1" applyFill="1" applyBorder="1" applyAlignment="1">
      <alignment horizontal="right"/>
    </xf>
    <xf numFmtId="0" fontId="1" fillId="6" borderId="15" xfId="0" applyFont="1" applyFill="1" applyBorder="1" applyAlignment="1">
      <alignment horizontal="right"/>
    </xf>
    <xf numFmtId="0" fontId="1" fillId="5" borderId="16" xfId="0" applyFont="1" applyFill="1" applyBorder="1"/>
    <xf numFmtId="0" fontId="1" fillId="0" borderId="17" xfId="0" applyFont="1" applyBorder="1"/>
    <xf numFmtId="0" fontId="1" fillId="6" borderId="18" xfId="0" applyFont="1" applyFill="1" applyBorder="1"/>
    <xf numFmtId="0" fontId="1" fillId="6" borderId="19" xfId="0" applyFont="1" applyFill="1" applyBorder="1"/>
    <xf numFmtId="0" fontId="1" fillId="5" borderId="12" xfId="0" applyFont="1" applyFill="1" applyBorder="1" applyAlignment="1">
      <alignment horizontal="left"/>
    </xf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5" borderId="23" xfId="0" applyFont="1" applyFill="1" applyBorder="1"/>
    <xf numFmtId="0" fontId="9" fillId="7" borderId="10" xfId="0" applyFont="1" applyFill="1" applyBorder="1"/>
    <xf numFmtId="0" fontId="1" fillId="6" borderId="11" xfId="0" applyFont="1" applyFill="1" applyBorder="1" applyAlignment="1">
      <alignment horizontal="right"/>
    </xf>
    <xf numFmtId="0" fontId="1" fillId="5" borderId="24" xfId="0" applyFont="1" applyFill="1" applyBorder="1" applyAlignment="1">
      <alignment horizontal="left"/>
    </xf>
    <xf numFmtId="0" fontId="9" fillId="7" borderId="14" xfId="0" applyFont="1" applyFill="1" applyBorder="1"/>
    <xf numFmtId="0" fontId="1" fillId="6" borderId="15" xfId="0" applyFont="1" applyFill="1" applyBorder="1"/>
    <xf numFmtId="0" fontId="1" fillId="5" borderId="25" xfId="0" applyFont="1" applyFill="1" applyBorder="1"/>
    <xf numFmtId="0" fontId="9" fillId="7" borderId="18" xfId="0" applyFont="1" applyFill="1" applyBorder="1"/>
    <xf numFmtId="0" fontId="10" fillId="8" borderId="2" xfId="0" applyFont="1" applyFill="1" applyBorder="1" applyAlignment="1">
      <alignment horizontal="center"/>
    </xf>
    <xf numFmtId="0" fontId="7" fillId="3" borderId="5" xfId="0" applyFont="1" applyFill="1" applyBorder="1"/>
    <xf numFmtId="0" fontId="1" fillId="0" borderId="29" xfId="0" applyFont="1" applyBorder="1"/>
    <xf numFmtId="0" fontId="1" fillId="0" borderId="0" xfId="0" applyFont="1"/>
    <xf numFmtId="0" fontId="5" fillId="3" borderId="5" xfId="0" applyFont="1" applyFill="1" applyBorder="1"/>
    <xf numFmtId="0" fontId="1" fillId="0" borderId="30" xfId="0" applyFont="1" applyBorder="1"/>
    <xf numFmtId="0" fontId="1" fillId="0" borderId="0" xfId="0" applyFont="1" applyAlignment="1">
      <alignment horizontal="right"/>
    </xf>
    <xf numFmtId="0" fontId="1" fillId="0" borderId="0" xfId="0" quotePrefix="1" applyFont="1"/>
    <xf numFmtId="0" fontId="12" fillId="3" borderId="5" xfId="0" applyFont="1" applyFill="1" applyBorder="1" applyAlignment="1">
      <alignment horizontal="right"/>
    </xf>
    <xf numFmtId="164" fontId="7" fillId="3" borderId="5" xfId="0" applyNumberFormat="1" applyFont="1" applyFill="1" applyBorder="1"/>
    <xf numFmtId="0" fontId="13" fillId="0" borderId="29" xfId="0" applyFont="1" applyBorder="1"/>
    <xf numFmtId="0" fontId="14" fillId="10" borderId="2" xfId="0" applyFont="1" applyFill="1" applyBorder="1"/>
    <xf numFmtId="0" fontId="14" fillId="11" borderId="2" xfId="0" applyFont="1" applyFill="1" applyBorder="1"/>
    <xf numFmtId="0" fontId="7" fillId="3" borderId="31" xfId="0" applyFont="1" applyFill="1" applyBorder="1" applyAlignment="1">
      <alignment wrapText="1"/>
    </xf>
    <xf numFmtId="0" fontId="7" fillId="3" borderId="32" xfId="0" applyFont="1" applyFill="1" applyBorder="1"/>
    <xf numFmtId="0" fontId="1" fillId="12" borderId="33" xfId="0" applyFont="1" applyFill="1" applyBorder="1"/>
    <xf numFmtId="0" fontId="1" fillId="12" borderId="34" xfId="0" applyFont="1" applyFill="1" applyBorder="1"/>
    <xf numFmtId="0" fontId="15" fillId="0" borderId="0" xfId="0" applyFont="1"/>
    <xf numFmtId="0" fontId="7" fillId="3" borderId="35" xfId="0" applyFont="1" applyFill="1" applyBorder="1"/>
    <xf numFmtId="2" fontId="7" fillId="3" borderId="5" xfId="0" applyNumberFormat="1" applyFont="1" applyFill="1" applyBorder="1"/>
    <xf numFmtId="0" fontId="1" fillId="12" borderId="2" xfId="0" applyFont="1" applyFill="1" applyBorder="1"/>
    <xf numFmtId="0" fontId="1" fillId="12" borderId="36" xfId="0" applyFont="1" applyFill="1" applyBorder="1"/>
    <xf numFmtId="0" fontId="12" fillId="3" borderId="5" xfId="0" applyFont="1" applyFill="1" applyBorder="1"/>
    <xf numFmtId="0" fontId="1" fillId="12" borderId="24" xfId="0" applyFont="1" applyFill="1" applyBorder="1"/>
    <xf numFmtId="0" fontId="16" fillId="12" borderId="2" xfId="0" applyFont="1" applyFill="1" applyBorder="1"/>
    <xf numFmtId="0" fontId="7" fillId="3" borderId="35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center"/>
    </xf>
    <xf numFmtId="0" fontId="8" fillId="13" borderId="37" xfId="0" applyFont="1" applyFill="1" applyBorder="1"/>
    <xf numFmtId="0" fontId="8" fillId="13" borderId="38" xfId="0" applyFont="1" applyFill="1" applyBorder="1"/>
    <xf numFmtId="0" fontId="1" fillId="13" borderId="39" xfId="0" applyFont="1" applyFill="1" applyBorder="1"/>
    <xf numFmtId="0" fontId="1" fillId="13" borderId="40" xfId="0" applyFont="1" applyFill="1" applyBorder="1"/>
    <xf numFmtId="0" fontId="7" fillId="3" borderId="41" xfId="0" applyFont="1" applyFill="1" applyBorder="1"/>
    <xf numFmtId="0" fontId="7" fillId="3" borderId="42" xfId="0" applyFont="1" applyFill="1" applyBorder="1"/>
    <xf numFmtId="0" fontId="1" fillId="12" borderId="43" xfId="0" applyFont="1" applyFill="1" applyBorder="1"/>
    <xf numFmtId="0" fontId="1" fillId="13" borderId="44" xfId="0" applyFont="1" applyFill="1" applyBorder="1"/>
    <xf numFmtId="0" fontId="1" fillId="13" borderId="45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11" fillId="9" borderId="26" xfId="0" applyFont="1" applyFill="1" applyBorder="1" applyAlignment="1">
      <alignment horizontal="center"/>
    </xf>
    <xf numFmtId="0" fontId="2" fillId="0" borderId="27" xfId="0" applyFont="1" applyBorder="1"/>
    <xf numFmtId="0" fontId="2" fillId="0" borderId="28" xfId="0" applyFont="1" applyBorder="1"/>
  </cellXfs>
  <cellStyles count="1">
    <cellStyle name="Normal" xfId="0" builtinId="0"/>
  </cellStyles>
  <dxfs count="2">
    <dxf>
      <fill>
        <patternFill patternType="solid">
          <fgColor rgb="FFC00000"/>
          <bgColor rgb="FFC00000"/>
        </patternFill>
      </fill>
    </dxf>
    <dxf>
      <fill>
        <patternFill patternType="solid">
          <fgColor rgb="FFC0000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09600" cy="6286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topLeftCell="A34" workbookViewId="0">
      <selection activeCell="D17" sqref="D17"/>
    </sheetView>
  </sheetViews>
  <sheetFormatPr defaultColWidth="14.42578125" defaultRowHeight="15" customHeight="1"/>
  <cols>
    <col min="1" max="1" width="9.42578125" customWidth="1"/>
    <col min="2" max="2" width="25.7109375" customWidth="1"/>
    <col min="3" max="3" width="34.7109375" customWidth="1"/>
    <col min="4" max="4" width="14.140625" customWidth="1"/>
    <col min="5" max="5" width="15.42578125" customWidth="1"/>
    <col min="6" max="6" width="3" customWidth="1"/>
    <col min="7" max="7" width="31.85546875" customWidth="1"/>
    <col min="8" max="26" width="10.7109375" customWidth="1"/>
  </cols>
  <sheetData>
    <row r="1" spans="1:26">
      <c r="A1" s="7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7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>
      <c r="A3" s="7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0.25">
      <c r="A4" s="1"/>
      <c r="B4" s="2" t="s"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>
      <c r="A6" s="1"/>
      <c r="B6" s="1" t="s">
        <v>1</v>
      </c>
      <c r="C6" s="3" t="s">
        <v>63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>
      <c r="A8" s="1"/>
      <c r="B8" s="1" t="s">
        <v>3</v>
      </c>
      <c r="C8" s="3" t="s">
        <v>74</v>
      </c>
      <c r="D8" s="4" t="str">
        <f>IF(AND(C6="round_klassik",ISNUMBER(FIND("industrial",Eingabe!C8))),"only available as Akzent (square) ladder!","")</f>
        <v/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>
      <c r="A10" s="1"/>
      <c r="B10" s="1" t="s">
        <v>5</v>
      </c>
      <c r="C10" s="5">
        <v>3607</v>
      </c>
      <c r="D10" s="1" t="s">
        <v>6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>
      <c r="A12" s="1"/>
      <c r="B12" s="1" t="s">
        <v>7</v>
      </c>
      <c r="C12" s="5">
        <f>IF(OR(ISNUMBER(SEARCH("vario",C8)),ISNUMBER(SEARCH("industrial",C8))),52.5,51)</f>
        <v>51</v>
      </c>
      <c r="D12" s="1" t="s">
        <v>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>
      <c r="A14" s="1"/>
      <c r="B14" s="1" t="s">
        <v>8</v>
      </c>
      <c r="C14" s="5">
        <v>10</v>
      </c>
      <c r="D14" s="1" t="s">
        <v>9</v>
      </c>
      <c r="E14" s="1" t="s">
        <v>10</v>
      </c>
      <c r="F14" s="1">
        <f>Daten!K19</f>
        <v>10</v>
      </c>
      <c r="G14" s="1" t="s">
        <v>11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"/>
      <c r="B15" s="4" t="s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0.25">
      <c r="A17" s="1"/>
      <c r="B17" s="2" t="s">
        <v>13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>
      <c r="A19" s="1"/>
      <c r="B19" s="6" t="s">
        <v>14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 t="s">
        <v>15</v>
      </c>
      <c r="C21" s="7">
        <f>leiterlaenge_print</f>
        <v>3429</v>
      </c>
      <c r="D21" s="1" t="s">
        <v>6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8" t="s">
        <v>16</v>
      </c>
      <c r="C23" s="7">
        <f>leiterabstand_print</f>
        <v>679</v>
      </c>
      <c r="D23" s="1" t="s">
        <v>6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6" t="s">
        <v>17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 t="s">
        <v>18</v>
      </c>
      <c r="C27" s="7">
        <f>Daten!F38</f>
        <v>2700</v>
      </c>
      <c r="D27" s="1" t="s">
        <v>6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 t="s">
        <v>19</v>
      </c>
      <c r="C29" s="7">
        <f>Daten!F39</f>
        <v>6</v>
      </c>
      <c r="D29" s="1" t="s">
        <v>20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6" t="s">
        <v>21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9"/>
      <c r="C34" s="10" t="s">
        <v>3</v>
      </c>
      <c r="D34" s="11" t="s">
        <v>22</v>
      </c>
      <c r="E34" s="11" t="s">
        <v>23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2" t="s">
        <v>24</v>
      </c>
      <c r="C35" s="13" t="s">
        <v>25</v>
      </c>
      <c r="D35" s="14">
        <f>ROUNDDOWN(( C10 - Daten!M5) / Daten!$K$20,0)</f>
        <v>12</v>
      </c>
      <c r="E35" s="15">
        <f>ROUNDDOWN(( C10 - Daten!S5) / Daten!$K$20,0)</f>
        <v>12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6">
        <v>6000</v>
      </c>
      <c r="C36" s="17" t="s">
        <v>26</v>
      </c>
      <c r="D36" s="18">
        <f>D35</f>
        <v>12</v>
      </c>
      <c r="E36" s="18">
        <f>E35</f>
        <v>12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20"/>
      <c r="C37" s="21" t="s">
        <v>27</v>
      </c>
      <c r="D37" s="22">
        <f>D35</f>
        <v>12</v>
      </c>
      <c r="E37" s="22">
        <f>E35</f>
        <v>12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2" t="s">
        <v>28</v>
      </c>
      <c r="C38" s="13" t="s">
        <v>29</v>
      </c>
      <c r="D38" s="14">
        <f>ROUNDDOWN(( C10 - Daten!M6) / Daten!$K$20,0)</f>
        <v>14</v>
      </c>
      <c r="E38" s="15">
        <f>ROUNDDOWN(( C10 - Daten!S6) / Daten!$K$20,0)</f>
        <v>14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6" t="s">
        <v>30</v>
      </c>
      <c r="C39" s="17" t="s">
        <v>31</v>
      </c>
      <c r="D39" s="18">
        <f>D38</f>
        <v>14</v>
      </c>
      <c r="E39" s="18">
        <f>E38</f>
        <v>14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20"/>
      <c r="C40" s="21" t="s">
        <v>32</v>
      </c>
      <c r="D40" s="22">
        <f>D38</f>
        <v>14</v>
      </c>
      <c r="E40" s="22">
        <f>E38</f>
        <v>14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2" t="s">
        <v>33</v>
      </c>
      <c r="C41" s="13" t="s">
        <v>34</v>
      </c>
      <c r="D41" s="14">
        <f>ROUNDDOWN(( C10 - Daten!M7) / Daten!$K$20,0)</f>
        <v>14</v>
      </c>
      <c r="E41" s="15">
        <f>ROUNDDOWN(( C10 - Daten!S7) / Daten!$K$20,0)</f>
        <v>14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24" t="s">
        <v>35</v>
      </c>
      <c r="C42" s="17" t="s">
        <v>36</v>
      </c>
      <c r="D42" s="18">
        <f>D41</f>
        <v>14</v>
      </c>
      <c r="E42" s="18">
        <f>E41</f>
        <v>14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20"/>
      <c r="C43" s="21" t="s">
        <v>37</v>
      </c>
      <c r="D43" s="22">
        <f>D41</f>
        <v>14</v>
      </c>
      <c r="E43" s="22">
        <f>E41</f>
        <v>14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2" t="s">
        <v>38</v>
      </c>
      <c r="C44" s="25" t="s">
        <v>39</v>
      </c>
      <c r="D44" s="14">
        <f>ROUNDDOWN(( C10 -Daten!M8) / Daten!$K$20,0)</f>
        <v>13</v>
      </c>
      <c r="E44" s="15">
        <f>ROUNDDOWN(( C10 -Daten!S8) / Daten!$K$20,0)</f>
        <v>13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6" t="s">
        <v>40</v>
      </c>
      <c r="C45" s="26" t="s">
        <v>41</v>
      </c>
      <c r="D45" s="18">
        <f>D44</f>
        <v>13</v>
      </c>
      <c r="E45" s="18">
        <f>E44</f>
        <v>13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20"/>
      <c r="C46" s="27" t="s">
        <v>42</v>
      </c>
      <c r="D46" s="22">
        <f>D44</f>
        <v>13</v>
      </c>
      <c r="E46" s="22">
        <f>E44</f>
        <v>13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2" t="s">
        <v>43</v>
      </c>
      <c r="C47" s="13" t="s">
        <v>44</v>
      </c>
      <c r="D47" s="14">
        <f>ROUNDDOWN(( C10 - Daten!M9) / Daten!$K$20,0)</f>
        <v>14</v>
      </c>
      <c r="E47" s="15">
        <f>ROUNDDOWN(( C10 - Daten!S9) / Daten!$K$20,0)</f>
        <v>14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6">
        <v>6004</v>
      </c>
      <c r="C48" s="17" t="s">
        <v>45</v>
      </c>
      <c r="D48" s="18">
        <f>D47</f>
        <v>14</v>
      </c>
      <c r="E48" s="18">
        <f>E47</f>
        <v>14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20"/>
      <c r="C49" s="21" t="s">
        <v>46</v>
      </c>
      <c r="D49" s="22">
        <f>D47</f>
        <v>14</v>
      </c>
      <c r="E49" s="22">
        <f>E47</f>
        <v>14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2" t="s">
        <v>47</v>
      </c>
      <c r="C50" s="13" t="s">
        <v>48</v>
      </c>
      <c r="D50" s="14">
        <f>ROUNDDOWN(( C10-Daten!M10) / Daten!$K$20,0)</f>
        <v>13</v>
      </c>
      <c r="E50" s="15">
        <f>ROUNDDOWN(( C10 - Daten!S10) / Daten!$K$20,0)</f>
        <v>13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6">
        <v>6005</v>
      </c>
      <c r="C51" s="17" t="s">
        <v>49</v>
      </c>
      <c r="D51" s="18">
        <f>D50</f>
        <v>13</v>
      </c>
      <c r="E51" s="18">
        <f>E50</f>
        <v>13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20"/>
      <c r="C52" s="21" t="s">
        <v>50</v>
      </c>
      <c r="D52" s="22">
        <f>D50</f>
        <v>13</v>
      </c>
      <c r="E52" s="22">
        <f>E50</f>
        <v>13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28" t="s">
        <v>51</v>
      </c>
      <c r="C53" s="25" t="s">
        <v>52</v>
      </c>
      <c r="D53" s="29"/>
      <c r="E53" s="30">
        <f>E54</f>
        <v>13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31">
        <v>6022</v>
      </c>
      <c r="C54" s="26" t="s">
        <v>53</v>
      </c>
      <c r="D54" s="32"/>
      <c r="E54" s="33">
        <f>ROUNDDOWN(( C10 - Daten!S15) / Daten!$K$20,0)</f>
        <v>13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31"/>
      <c r="C55" s="26" t="s">
        <v>54</v>
      </c>
      <c r="D55" s="32"/>
      <c r="E55" s="19">
        <f>E56</f>
        <v>13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34"/>
      <c r="C56" s="27" t="s">
        <v>55</v>
      </c>
      <c r="D56" s="35"/>
      <c r="E56" s="23">
        <f>ROUNDDOWN(( C10 - Daten!S14) / Daten!$K$20,0)</f>
        <v>13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A3"/>
  </mergeCells>
  <conditionalFormatting sqref="C8">
    <cfRule type="expression" dxfId="1" priority="1">
      <formula>$D$8&lt;&gt;""</formula>
    </cfRule>
  </conditionalFormatting>
  <conditionalFormatting sqref="C14">
    <cfRule type="cellIs" dxfId="0" priority="2" operator="notEqual">
      <formula>F14</formula>
    </cfRule>
  </conditionalFormatting>
  <dataValidations count="1">
    <dataValidation type="list" allowBlank="1" showErrorMessage="1" sqref="C6" xr:uid="{00000000-0002-0000-0000-000000000000}">
      <formula1>"round_klassik,square_akzent"</formula1>
    </dataValidation>
  </dataValidations>
  <pageMargins left="0.7" right="0.7" top="0.78740157499999996" bottom="0.78740157499999996" header="0" footer="0"/>
  <pageSetup paperSize="9"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1000000}">
          <x14:formula1>
            <xm:f>Daten!$K$25:$K$35</xm:f>
          </x14:formula1>
          <xm:sqref>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AA1000"/>
  <sheetViews>
    <sheetView topLeftCell="J1" workbookViewId="0">
      <selection activeCell="M15" sqref="M15"/>
    </sheetView>
  </sheetViews>
  <sheetFormatPr defaultColWidth="14.42578125" defaultRowHeight="15" customHeight="1"/>
  <cols>
    <col min="1" max="2" width="9.140625" customWidth="1"/>
    <col min="3" max="3" width="13.42578125" customWidth="1"/>
    <col min="4" max="4" width="1.5703125" customWidth="1"/>
    <col min="5" max="5" width="38.42578125" customWidth="1"/>
    <col min="6" max="6" width="12" customWidth="1"/>
    <col min="7" max="7" width="22.7109375" customWidth="1"/>
    <col min="8" max="8" width="43.140625" customWidth="1"/>
    <col min="9" max="9" width="13.42578125" customWidth="1"/>
    <col min="10" max="10" width="29.42578125" customWidth="1"/>
    <col min="11" max="11" width="13.140625" customWidth="1"/>
    <col min="12" max="12" width="10.5703125" customWidth="1"/>
    <col min="13" max="13" width="10.7109375" customWidth="1"/>
    <col min="14" max="15" width="6" customWidth="1"/>
    <col min="16" max="16" width="12.42578125" customWidth="1"/>
    <col min="17" max="17" width="13.85546875" customWidth="1"/>
    <col min="18" max="18" width="10.5703125" customWidth="1"/>
    <col min="19" max="19" width="10.7109375" customWidth="1"/>
    <col min="20" max="21" width="9.140625" customWidth="1"/>
    <col min="22" max="22" width="11.85546875" customWidth="1"/>
    <col min="23" max="23" width="10.7109375" customWidth="1"/>
    <col min="24" max="27" width="9.140625" customWidth="1"/>
  </cols>
  <sheetData>
    <row r="2" spans="3:27">
      <c r="C2" s="36" t="s">
        <v>56</v>
      </c>
      <c r="D2" s="36" t="s">
        <v>57</v>
      </c>
      <c r="E2" s="36" t="s">
        <v>58</v>
      </c>
      <c r="F2" s="36" t="s">
        <v>59</v>
      </c>
      <c r="G2" s="36" t="s">
        <v>60</v>
      </c>
      <c r="H2" s="36" t="s">
        <v>61</v>
      </c>
      <c r="J2" s="75" t="s">
        <v>62</v>
      </c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</row>
    <row r="3" spans="3:27">
      <c r="E3" s="37"/>
      <c r="K3" s="38" t="s">
        <v>63</v>
      </c>
      <c r="L3" s="39"/>
      <c r="Q3" s="38" t="s">
        <v>2</v>
      </c>
      <c r="R3" s="39"/>
      <c r="W3" s="39" t="s">
        <v>64</v>
      </c>
    </row>
    <row r="4" spans="3:27">
      <c r="C4" s="39" t="s">
        <v>65</v>
      </c>
      <c r="D4" s="39" t="str">
        <f t="shared" ref="D4:D8" si="0">IF($C4&lt;&gt;"",":","")</f>
        <v>:</v>
      </c>
      <c r="E4" s="40">
        <f>Eingabe!C10</f>
        <v>3607</v>
      </c>
      <c r="F4" s="39" t="s">
        <v>6</v>
      </c>
      <c r="G4" s="39" t="s">
        <v>66</v>
      </c>
      <c r="K4" s="41" t="s">
        <v>67</v>
      </c>
      <c r="L4" s="41" t="s">
        <v>68</v>
      </c>
      <c r="M4" s="41" t="s">
        <v>69</v>
      </c>
      <c r="Q4" s="41" t="s">
        <v>67</v>
      </c>
      <c r="R4" s="41" t="s">
        <v>68</v>
      </c>
      <c r="S4" s="41" t="s">
        <v>69</v>
      </c>
    </row>
    <row r="5" spans="3:27">
      <c r="C5" s="39" t="s">
        <v>70</v>
      </c>
      <c r="D5" s="39" t="str">
        <f t="shared" si="0"/>
        <v>:</v>
      </c>
      <c r="E5" s="37">
        <f>IF(holmform=K3,N16,IF(holmform=Q3,T16,"falscher Wert"))</f>
        <v>99.7</v>
      </c>
      <c r="F5" s="39" t="s">
        <v>6</v>
      </c>
      <c r="G5" s="39" t="s">
        <v>67</v>
      </c>
      <c r="J5" s="38" t="s">
        <v>71</v>
      </c>
      <c r="K5" s="38">
        <v>395.03</v>
      </c>
      <c r="L5" s="38">
        <v>17</v>
      </c>
      <c r="M5" s="38">
        <v>455</v>
      </c>
      <c r="N5" s="38">
        <f t="shared" ref="N5:N15" si="1">IF(leitertyp=$J5,$K5,0)</f>
        <v>0</v>
      </c>
      <c r="O5" s="38">
        <f t="shared" ref="O5:O15" si="2">IF(leitertyp=$J5,$L5,0)</f>
        <v>0</v>
      </c>
      <c r="Q5" s="38">
        <v>395.03</v>
      </c>
      <c r="R5" s="38">
        <v>20</v>
      </c>
      <c r="S5" s="38">
        <v>455</v>
      </c>
      <c r="T5" s="38">
        <f t="shared" ref="T5:T15" si="3">IF(leitertyp=$J5,Q5,0)</f>
        <v>0</v>
      </c>
      <c r="U5" s="38">
        <f t="shared" ref="U5:U15" si="4">IF(leitertyp=$J5,$R5,0)</f>
        <v>0</v>
      </c>
      <c r="W5" s="39">
        <v>0</v>
      </c>
    </row>
    <row r="6" spans="3:27">
      <c r="C6" s="39" t="s">
        <v>72</v>
      </c>
      <c r="D6" s="39" t="str">
        <f t="shared" si="0"/>
        <v>:</v>
      </c>
      <c r="E6" s="37">
        <f>IF(ISNUMBER(SEARCH("industrial",leitertyp)),95,130)</f>
        <v>130</v>
      </c>
      <c r="F6" s="39" t="s">
        <v>6</v>
      </c>
      <c r="G6" s="39" t="s">
        <v>73</v>
      </c>
      <c r="J6" s="38" t="s">
        <v>74</v>
      </c>
      <c r="K6" s="38">
        <v>99.7</v>
      </c>
      <c r="L6" s="38">
        <v>32.6</v>
      </c>
      <c r="M6" s="38">
        <v>155</v>
      </c>
      <c r="N6" s="38">
        <f t="shared" si="1"/>
        <v>99.7</v>
      </c>
      <c r="O6" s="38">
        <f t="shared" si="2"/>
        <v>32.6</v>
      </c>
      <c r="Q6" s="38">
        <v>99.7</v>
      </c>
      <c r="R6" s="38">
        <v>33.9</v>
      </c>
      <c r="S6" s="38">
        <v>155</v>
      </c>
      <c r="T6" s="38">
        <f t="shared" si="3"/>
        <v>99.7</v>
      </c>
      <c r="U6" s="38">
        <f t="shared" si="4"/>
        <v>33.9</v>
      </c>
      <c r="AA6" s="39">
        <v>51</v>
      </c>
    </row>
    <row r="7" spans="3:27">
      <c r="C7" s="39" t="s">
        <v>75</v>
      </c>
      <c r="D7" s="39" t="str">
        <f t="shared" si="0"/>
        <v>:</v>
      </c>
      <c r="E7" s="37">
        <f>gesamthoehe - abzugoben - abzugunten</f>
        <v>3377.3</v>
      </c>
      <c r="F7" s="39" t="s">
        <v>6</v>
      </c>
      <c r="G7" s="39" t="s">
        <v>76</v>
      </c>
      <c r="H7" s="39" t="s">
        <v>77</v>
      </c>
      <c r="J7" s="38" t="s">
        <v>78</v>
      </c>
      <c r="K7" s="38">
        <v>99.7</v>
      </c>
      <c r="L7" s="38">
        <v>52.6</v>
      </c>
      <c r="M7" s="38">
        <v>155</v>
      </c>
      <c r="N7" s="38">
        <f t="shared" si="1"/>
        <v>0</v>
      </c>
      <c r="O7" s="38">
        <f t="shared" si="2"/>
        <v>0</v>
      </c>
      <c r="Q7" s="38">
        <v>99.7</v>
      </c>
      <c r="R7" s="38">
        <v>56.1</v>
      </c>
      <c r="S7" s="38">
        <v>155</v>
      </c>
      <c r="T7" s="38">
        <f t="shared" si="3"/>
        <v>0</v>
      </c>
      <c r="U7" s="38">
        <f t="shared" si="4"/>
        <v>0</v>
      </c>
      <c r="Y7" s="39">
        <v>31</v>
      </c>
      <c r="Z7" s="39">
        <v>41</v>
      </c>
      <c r="AA7" s="39">
        <v>51</v>
      </c>
    </row>
    <row r="8" spans="3:27">
      <c r="C8" s="39" t="s">
        <v>79</v>
      </c>
      <c r="D8" s="39" t="str">
        <f t="shared" si="0"/>
        <v>:</v>
      </c>
      <c r="E8" s="37">
        <f>IF(holmform=K3,O16,IF(holmform=Q3,U16,"falscher Wert"))</f>
        <v>32.6</v>
      </c>
      <c r="F8" s="39" t="s">
        <v>6</v>
      </c>
      <c r="J8" s="38" t="s">
        <v>80</v>
      </c>
      <c r="K8" s="38">
        <v>124.7</v>
      </c>
      <c r="L8" s="38">
        <v>26.4</v>
      </c>
      <c r="M8" s="38">
        <v>180</v>
      </c>
      <c r="N8" s="38">
        <f t="shared" si="1"/>
        <v>0</v>
      </c>
      <c r="O8" s="38">
        <f t="shared" si="2"/>
        <v>0</v>
      </c>
      <c r="Q8" s="38">
        <v>124.7</v>
      </c>
      <c r="R8" s="38">
        <v>29.4</v>
      </c>
      <c r="S8" s="38">
        <v>180</v>
      </c>
      <c r="T8" s="38">
        <f t="shared" si="3"/>
        <v>0</v>
      </c>
      <c r="U8" s="38">
        <f t="shared" si="4"/>
        <v>0</v>
      </c>
      <c r="Z8" s="42"/>
      <c r="AA8" s="39">
        <v>51</v>
      </c>
    </row>
    <row r="9" spans="3:27">
      <c r="E9" s="37"/>
      <c r="J9" s="38" t="s">
        <v>81</v>
      </c>
      <c r="K9" s="38">
        <v>99.7</v>
      </c>
      <c r="L9" s="38">
        <v>21.9</v>
      </c>
      <c r="M9" s="38">
        <v>155</v>
      </c>
      <c r="N9" s="38">
        <f t="shared" si="1"/>
        <v>0</v>
      </c>
      <c r="O9" s="38">
        <f t="shared" si="2"/>
        <v>0</v>
      </c>
      <c r="Q9" s="38">
        <v>99.7</v>
      </c>
      <c r="R9" s="38">
        <v>28.5</v>
      </c>
      <c r="S9" s="38">
        <v>155</v>
      </c>
      <c r="T9" s="38">
        <f t="shared" si="3"/>
        <v>0</v>
      </c>
      <c r="U9" s="38">
        <f t="shared" si="4"/>
        <v>0</v>
      </c>
      <c r="W9" s="39">
        <v>32.5</v>
      </c>
      <c r="X9" s="39">
        <v>37.5</v>
      </c>
      <c r="Y9" s="39">
        <v>42.5</v>
      </c>
      <c r="Z9" s="39">
        <v>47.5</v>
      </c>
      <c r="AA9" s="39">
        <v>52.5</v>
      </c>
    </row>
    <row r="10" spans="3:27">
      <c r="C10" s="39" t="s">
        <v>82</v>
      </c>
      <c r="D10" s="39" t="str">
        <f>IF($C10&lt;&gt;"",":","")</f>
        <v>:</v>
      </c>
      <c r="E10" s="40">
        <f>Eingabe!C12</f>
        <v>51</v>
      </c>
      <c r="F10" s="39" t="s">
        <v>6</v>
      </c>
      <c r="J10" s="38" t="s">
        <v>83</v>
      </c>
      <c r="K10" s="38">
        <v>184.8</v>
      </c>
      <c r="L10" s="38">
        <v>35.1</v>
      </c>
      <c r="M10" s="38">
        <v>240</v>
      </c>
      <c r="N10" s="38">
        <f t="shared" si="1"/>
        <v>0</v>
      </c>
      <c r="O10" s="38">
        <f t="shared" si="2"/>
        <v>0</v>
      </c>
      <c r="Q10" s="38">
        <v>184.8</v>
      </c>
      <c r="R10" s="38">
        <v>38.1</v>
      </c>
      <c r="S10" s="38">
        <v>240</v>
      </c>
      <c r="T10" s="38">
        <f t="shared" si="3"/>
        <v>0</v>
      </c>
      <c r="U10" s="38">
        <f t="shared" si="4"/>
        <v>0</v>
      </c>
      <c r="X10" s="42">
        <v>37.5</v>
      </c>
      <c r="Y10" s="39">
        <v>42.5</v>
      </c>
      <c r="Z10" s="39">
        <v>47.5</v>
      </c>
      <c r="AA10" s="39">
        <v>52.5</v>
      </c>
    </row>
    <row r="11" spans="3:27">
      <c r="E11" s="37"/>
      <c r="J11" s="38" t="s">
        <v>84</v>
      </c>
      <c r="K11" s="38">
        <f t="shared" ref="K11:L11" si="5">K6</f>
        <v>99.7</v>
      </c>
      <c r="L11" s="38">
        <f t="shared" si="5"/>
        <v>32.6</v>
      </c>
      <c r="M11" s="38"/>
      <c r="N11" s="38">
        <f t="shared" si="1"/>
        <v>0</v>
      </c>
      <c r="O11" s="38">
        <f t="shared" si="2"/>
        <v>0</v>
      </c>
      <c r="Q11" s="38">
        <f t="shared" ref="Q11:R11" si="6">Q6</f>
        <v>99.7</v>
      </c>
      <c r="R11" s="38">
        <f t="shared" si="6"/>
        <v>33.9</v>
      </c>
      <c r="S11" s="38"/>
      <c r="T11" s="38">
        <f t="shared" si="3"/>
        <v>0</v>
      </c>
      <c r="U11" s="38">
        <f t="shared" si="4"/>
        <v>0</v>
      </c>
      <c r="AA11" s="39">
        <v>51</v>
      </c>
    </row>
    <row r="12" spans="3:27">
      <c r="C12" s="39" t="s">
        <v>85</v>
      </c>
      <c r="D12" s="39" t="str">
        <f>IF($C12&lt;&gt;"",":","")</f>
        <v>:</v>
      </c>
      <c r="E12" s="37">
        <f>Eingabe!C14</f>
        <v>10</v>
      </c>
      <c r="F12" s="39" t="s">
        <v>9</v>
      </c>
      <c r="G12" s="39" t="s">
        <v>86</v>
      </c>
      <c r="J12" s="38" t="s">
        <v>87</v>
      </c>
      <c r="K12" s="38">
        <f t="shared" ref="K12:L12" si="7">K7</f>
        <v>99.7</v>
      </c>
      <c r="L12" s="38">
        <f t="shared" si="7"/>
        <v>52.6</v>
      </c>
      <c r="M12" s="38"/>
      <c r="N12" s="38">
        <f t="shared" si="1"/>
        <v>0</v>
      </c>
      <c r="O12" s="38">
        <f t="shared" si="2"/>
        <v>0</v>
      </c>
      <c r="Q12" s="38">
        <f t="shared" ref="Q12:R12" si="8">Q7</f>
        <v>99.7</v>
      </c>
      <c r="R12" s="38">
        <f t="shared" si="8"/>
        <v>56.1</v>
      </c>
      <c r="S12" s="38"/>
      <c r="T12" s="38">
        <f t="shared" si="3"/>
        <v>0</v>
      </c>
      <c r="U12" s="38">
        <f t="shared" si="4"/>
        <v>0</v>
      </c>
      <c r="AA12" s="39">
        <f>$AA$6</f>
        <v>51</v>
      </c>
    </row>
    <row r="13" spans="3:27">
      <c r="E13" s="37"/>
      <c r="J13" s="38" t="s">
        <v>88</v>
      </c>
      <c r="K13" s="38">
        <f t="shared" ref="K13:L13" si="9">K8</f>
        <v>124.7</v>
      </c>
      <c r="L13" s="38">
        <f t="shared" si="9"/>
        <v>26.4</v>
      </c>
      <c r="M13" s="38"/>
      <c r="N13" s="38">
        <f t="shared" si="1"/>
        <v>0</v>
      </c>
      <c r="O13" s="38">
        <f t="shared" si="2"/>
        <v>0</v>
      </c>
      <c r="Q13" s="38">
        <f t="shared" ref="Q13:R13" si="10">Q8</f>
        <v>124.7</v>
      </c>
      <c r="R13" s="38">
        <f t="shared" si="10"/>
        <v>29.4</v>
      </c>
      <c r="S13" s="38"/>
      <c r="T13" s="38">
        <f t="shared" si="3"/>
        <v>0</v>
      </c>
      <c r="U13" s="38">
        <f t="shared" si="4"/>
        <v>0</v>
      </c>
      <c r="AA13" s="39">
        <v>51</v>
      </c>
    </row>
    <row r="14" spans="3:27">
      <c r="C14" s="39" t="s">
        <v>89</v>
      </c>
      <c r="D14" s="39" t="str">
        <f t="shared" ref="D14:D26" si="11">IF($C14&lt;&gt;"",":","")</f>
        <v>:</v>
      </c>
      <c r="E14" s="37">
        <f>RADIANS(alpha)</f>
        <v>0.17453292519943295</v>
      </c>
      <c r="G14" s="39" t="s">
        <v>90</v>
      </c>
      <c r="H14" s="39" t="s">
        <v>91</v>
      </c>
      <c r="J14" s="38" t="s">
        <v>4</v>
      </c>
      <c r="K14" s="38"/>
      <c r="L14" s="38"/>
      <c r="M14" s="38"/>
      <c r="N14" s="38">
        <f t="shared" si="1"/>
        <v>0</v>
      </c>
      <c r="O14" s="38">
        <f t="shared" si="2"/>
        <v>0</v>
      </c>
      <c r="Q14" s="38">
        <v>175.2</v>
      </c>
      <c r="R14" s="38">
        <v>30.4</v>
      </c>
      <c r="S14" s="38">
        <v>235</v>
      </c>
      <c r="T14" s="38">
        <f t="shared" si="3"/>
        <v>0</v>
      </c>
      <c r="U14" s="38">
        <f t="shared" si="4"/>
        <v>0</v>
      </c>
      <c r="W14" s="39">
        <v>32.5</v>
      </c>
      <c r="X14" s="39">
        <v>37.5</v>
      </c>
      <c r="Y14" s="39">
        <v>42.5</v>
      </c>
      <c r="Z14" s="39">
        <v>47.5</v>
      </c>
      <c r="AA14" s="39">
        <v>52.5</v>
      </c>
    </row>
    <row r="15" spans="3:27">
      <c r="D15" s="39" t="str">
        <f t="shared" si="11"/>
        <v/>
      </c>
      <c r="E15" s="37"/>
      <c r="J15" s="38" t="s">
        <v>92</v>
      </c>
      <c r="K15" s="38"/>
      <c r="L15" s="38"/>
      <c r="M15" s="38"/>
      <c r="N15" s="38">
        <f t="shared" si="1"/>
        <v>0</v>
      </c>
      <c r="O15" s="38">
        <f t="shared" si="2"/>
        <v>0</v>
      </c>
      <c r="Q15" s="38">
        <v>175.2</v>
      </c>
      <c r="R15" s="38">
        <v>59.6</v>
      </c>
      <c r="S15" s="38">
        <v>235</v>
      </c>
      <c r="T15" s="38">
        <f t="shared" si="3"/>
        <v>0</v>
      </c>
      <c r="U15" s="38">
        <f t="shared" si="4"/>
        <v>0</v>
      </c>
      <c r="W15" s="39">
        <v>32.5</v>
      </c>
      <c r="X15" s="39">
        <v>37.5</v>
      </c>
      <c r="Y15" s="39">
        <v>42.5</v>
      </c>
      <c r="Z15" s="39">
        <v>47.5</v>
      </c>
      <c r="AA15" s="39">
        <v>52.5</v>
      </c>
    </row>
    <row r="16" spans="3:27">
      <c r="D16" s="39" t="str">
        <f t="shared" si="11"/>
        <v/>
      </c>
      <c r="E16" s="37"/>
      <c r="N16" s="37">
        <f t="shared" ref="N16:O16" si="12">SUM(N5:N15)</f>
        <v>99.7</v>
      </c>
      <c r="O16" s="37">
        <f t="shared" si="12"/>
        <v>32.6</v>
      </c>
      <c r="T16" s="37">
        <f t="shared" ref="T16:U16" si="13">SUM(T5:T15)</f>
        <v>99.7</v>
      </c>
      <c r="U16" s="37">
        <f t="shared" si="13"/>
        <v>33.9</v>
      </c>
    </row>
    <row r="17" spans="3:14">
      <c r="C17" s="39" t="s">
        <v>93</v>
      </c>
      <c r="D17" s="39" t="str">
        <f t="shared" si="11"/>
        <v>:</v>
      </c>
      <c r="E17" s="37">
        <f>leiterhoehe / COS(alpharad)</f>
        <v>3429.4002963217267</v>
      </c>
      <c r="F17" s="39" t="s">
        <v>6</v>
      </c>
      <c r="G17" s="39" t="s">
        <v>94</v>
      </c>
      <c r="H17" s="43" t="s">
        <v>95</v>
      </c>
    </row>
    <row r="18" spans="3:14">
      <c r="C18" s="39" t="s">
        <v>96</v>
      </c>
      <c r="D18" s="39" t="str">
        <f t="shared" si="11"/>
        <v>:</v>
      </c>
      <c r="E18" s="37">
        <f>IF(leitertyp=J5,(leiterlaenge*SIN(alpharad)+E8),(leiterlaenge*SIN(alpharad)+E8+wabstand))</f>
        <v>679.1091119466987</v>
      </c>
      <c r="F18" s="39" t="s">
        <v>6</v>
      </c>
      <c r="G18" s="39" t="s">
        <v>97</v>
      </c>
      <c r="H18" s="39" t="s">
        <v>98</v>
      </c>
    </row>
    <row r="19" spans="3:14">
      <c r="D19" s="39" t="str">
        <f t="shared" si="11"/>
        <v/>
      </c>
      <c r="E19" s="37"/>
      <c r="J19" s="39" t="s">
        <v>99</v>
      </c>
      <c r="K19" s="37">
        <f>IF(leitertyp = "simple ladder (6000)", 20, IF(ISNUMBER(SEARCH("industrial",leitertyp)), 15, 10))</f>
        <v>10</v>
      </c>
      <c r="L19" s="39" t="s">
        <v>9</v>
      </c>
    </row>
    <row r="20" spans="3:14">
      <c r="C20" s="39" t="s">
        <v>93</v>
      </c>
      <c r="D20" s="39" t="str">
        <f t="shared" si="11"/>
        <v>:</v>
      </c>
      <c r="E20" s="44">
        <f>ROUND(leiterlaenge,0)</f>
        <v>3429</v>
      </c>
      <c r="F20" s="39" t="s">
        <v>6</v>
      </c>
      <c r="G20" s="39" t="s">
        <v>100</v>
      </c>
      <c r="H20" s="39" t="s">
        <v>101</v>
      </c>
      <c r="J20" s="39" t="s">
        <v>102</v>
      </c>
      <c r="K20" s="37">
        <f>250*COS(alpharad)</f>
        <v>246.20193825305199</v>
      </c>
      <c r="L20" s="39" t="s">
        <v>6</v>
      </c>
    </row>
    <row r="21" spans="3:14" ht="15.75" customHeight="1">
      <c r="C21" s="39" t="s">
        <v>96</v>
      </c>
      <c r="D21" s="39" t="str">
        <f t="shared" si="11"/>
        <v>:</v>
      </c>
      <c r="E21" s="44">
        <f>ROUND(leiterabstand,0)</f>
        <v>679</v>
      </c>
      <c r="F21" s="39" t="s">
        <v>6</v>
      </c>
      <c r="G21" s="39" t="s">
        <v>103</v>
      </c>
      <c r="H21" s="39" t="s">
        <v>104</v>
      </c>
      <c r="J21" s="39" t="s">
        <v>105</v>
      </c>
      <c r="K21" s="37">
        <f>200*COS(alpharad)</f>
        <v>196.9615506024416</v>
      </c>
      <c r="L21" s="39" t="s">
        <v>6</v>
      </c>
    </row>
    <row r="22" spans="3:14" ht="15.75" customHeight="1">
      <c r="D22" s="39" t="str">
        <f t="shared" si="11"/>
        <v/>
      </c>
      <c r="E22" s="37"/>
    </row>
    <row r="23" spans="3:14" ht="15.75" customHeight="1">
      <c r="C23" s="39" t="s">
        <v>106</v>
      </c>
      <c r="D23" s="39" t="str">
        <f t="shared" si="11"/>
        <v>:</v>
      </c>
      <c r="E23" s="37"/>
      <c r="F23" s="39" t="s">
        <v>107</v>
      </c>
      <c r="G23" s="39" t="s">
        <v>108</v>
      </c>
    </row>
    <row r="24" spans="3:14" ht="15.75" customHeight="1">
      <c r="D24" s="39" t="str">
        <f t="shared" si="11"/>
        <v/>
      </c>
      <c r="E24" s="37"/>
      <c r="K24" s="39" t="s">
        <v>109</v>
      </c>
    </row>
    <row r="25" spans="3:14" ht="15.75" customHeight="1">
      <c r="C25" s="39" t="s">
        <v>110</v>
      </c>
      <c r="D25" s="39" t="str">
        <f t="shared" si="11"/>
        <v>:</v>
      </c>
      <c r="E25" s="45">
        <f ca="1">NOW()</f>
        <v>45334.696180787039</v>
      </c>
      <c r="G25" s="39" t="s">
        <v>111</v>
      </c>
      <c r="H25" s="39" t="s">
        <v>112</v>
      </c>
      <c r="K25" s="39" t="s">
        <v>71</v>
      </c>
    </row>
    <row r="26" spans="3:14" ht="15.75" customHeight="1">
      <c r="D26" s="39" t="str">
        <f t="shared" si="11"/>
        <v/>
      </c>
      <c r="E26" s="37"/>
      <c r="K26" s="39" t="s">
        <v>74</v>
      </c>
    </row>
    <row r="27" spans="3:14" ht="15.75" customHeight="1">
      <c r="K27" s="39" t="s">
        <v>78</v>
      </c>
      <c r="L27" s="39"/>
      <c r="M27" s="39"/>
      <c r="N27" s="39"/>
    </row>
    <row r="28" spans="3:14" ht="15.75" customHeight="1">
      <c r="C28" s="39" t="s">
        <v>113</v>
      </c>
      <c r="D28" s="39" t="s">
        <v>57</v>
      </c>
      <c r="E28" s="46" t="str">
        <f>Eingabe!C6</f>
        <v>round_klassik</v>
      </c>
      <c r="G28" s="39" t="s">
        <v>113</v>
      </c>
      <c r="K28" s="39" t="s">
        <v>80</v>
      </c>
      <c r="L28" s="39"/>
      <c r="M28" s="39"/>
      <c r="N28" s="39"/>
    </row>
    <row r="29" spans="3:14" ht="15.75" customHeight="1">
      <c r="C29" s="39" t="s">
        <v>114</v>
      </c>
      <c r="D29" s="39" t="s">
        <v>57</v>
      </c>
      <c r="E29" s="46" t="str">
        <f>Eingabe!C8</f>
        <v>hook ladder (6001)</v>
      </c>
      <c r="G29" s="39" t="s">
        <v>114</v>
      </c>
      <c r="K29" s="39" t="s">
        <v>81</v>
      </c>
      <c r="L29" s="39"/>
      <c r="M29" s="39"/>
      <c r="N29" s="39"/>
    </row>
    <row r="30" spans="3:14" ht="15.75" customHeight="1">
      <c r="K30" s="39" t="s">
        <v>83</v>
      </c>
      <c r="L30" s="39"/>
      <c r="M30" s="39"/>
      <c r="N30" s="39"/>
    </row>
    <row r="31" spans="3:14" ht="15.75" customHeight="1">
      <c r="K31" s="39" t="s">
        <v>84</v>
      </c>
      <c r="L31" s="39"/>
      <c r="M31" s="39"/>
      <c r="N31" s="39"/>
    </row>
    <row r="32" spans="3:14" ht="15.75" customHeight="1">
      <c r="K32" s="39" t="s">
        <v>87</v>
      </c>
      <c r="L32" s="39"/>
      <c r="M32" s="39"/>
      <c r="N32" s="39"/>
    </row>
    <row r="33" spans="3:20" ht="15.75" customHeight="1">
      <c r="C33" s="47" t="s">
        <v>115</v>
      </c>
      <c r="K33" s="39" t="s">
        <v>88</v>
      </c>
      <c r="L33" s="39"/>
      <c r="M33" s="39"/>
      <c r="N33" s="39"/>
    </row>
    <row r="34" spans="3:20" ht="15.75" customHeight="1">
      <c r="C34" s="48" t="s">
        <v>116</v>
      </c>
      <c r="K34" s="39" t="str">
        <f>IF(Eingabe!C6="square_akzent","industrial AK Quattro (6022.Q)","")</f>
        <v/>
      </c>
      <c r="L34" s="39"/>
      <c r="M34" s="39"/>
      <c r="N34" s="39"/>
    </row>
    <row r="35" spans="3:20" ht="15.75" customHeight="1">
      <c r="K35" s="39" t="str">
        <f>IF(Eingabe!C6="square_akzent","industrial AK (6022.A)","")</f>
        <v/>
      </c>
      <c r="L35" s="39"/>
      <c r="M35" s="39"/>
      <c r="N35" s="39"/>
    </row>
    <row r="36" spans="3:20" ht="15.75" customHeight="1">
      <c r="E36" s="49" t="s">
        <v>117</v>
      </c>
      <c r="F36" s="50">
        <f>(ROUNDUP(((leiterlaenge-781-100)/500),0)-1)*500+100+100</f>
        <v>2700</v>
      </c>
      <c r="G36" s="51"/>
      <c r="H36" s="51"/>
      <c r="I36" s="52"/>
      <c r="K36" s="39"/>
      <c r="L36" s="39"/>
      <c r="M36" s="39"/>
      <c r="N36" s="39"/>
      <c r="T36" s="53"/>
    </row>
    <row r="37" spans="3:20" ht="15.75" customHeight="1">
      <c r="E37" s="54" t="s">
        <v>118</v>
      </c>
      <c r="F37" s="55">
        <f>leiterlaenge-781+100-F36</f>
        <v>48.400296321726728</v>
      </c>
      <c r="G37" s="56"/>
      <c r="H37" s="56"/>
      <c r="I37" s="57"/>
      <c r="L37" s="39"/>
      <c r="M37" s="39"/>
      <c r="N37" s="39"/>
      <c r="T37" s="53"/>
    </row>
    <row r="38" spans="3:20" ht="15.75" customHeight="1">
      <c r="E38" s="54" t="s">
        <v>119</v>
      </c>
      <c r="F38" s="58">
        <f>IF((IF(F37&lt;350,F36,F36+250))&lt;450,450,(IF(F37&lt;350,F36,F36+250)))</f>
        <v>2700</v>
      </c>
      <c r="G38" s="56"/>
      <c r="H38" s="56"/>
      <c r="I38" s="57"/>
      <c r="K38" s="39"/>
      <c r="L38" s="39"/>
      <c r="M38" s="39"/>
      <c r="N38" s="39"/>
      <c r="T38" s="53"/>
    </row>
    <row r="39" spans="3:20" ht="15.75" customHeight="1">
      <c r="E39" s="54" t="s">
        <v>120</v>
      </c>
      <c r="F39" s="58">
        <f>ROUNDUP(((F38-100-100)/500),0)+1</f>
        <v>6</v>
      </c>
      <c r="G39" s="56"/>
      <c r="H39" s="56"/>
      <c r="I39" s="57"/>
      <c r="T39" s="53"/>
    </row>
    <row r="40" spans="3:20" ht="15.75" customHeight="1">
      <c r="E40" s="59"/>
      <c r="F40" s="60"/>
      <c r="G40" s="56"/>
      <c r="H40" s="56"/>
      <c r="I40" s="57"/>
      <c r="T40" s="53"/>
    </row>
    <row r="41" spans="3:20" ht="15.75" customHeight="1">
      <c r="E41" s="61" t="s">
        <v>121</v>
      </c>
      <c r="F41" s="62" t="s">
        <v>122</v>
      </c>
      <c r="G41" s="56"/>
      <c r="H41" s="63" t="s">
        <v>123</v>
      </c>
      <c r="I41" s="64" t="s">
        <v>124</v>
      </c>
      <c r="T41" s="53"/>
    </row>
    <row r="42" spans="3:20" ht="15.75" customHeight="1">
      <c r="E42" s="54" t="s">
        <v>125</v>
      </c>
      <c r="F42" s="37">
        <v>100</v>
      </c>
      <c r="G42" s="56"/>
      <c r="H42" s="65">
        <f>F42</f>
        <v>100</v>
      </c>
      <c r="I42" s="66"/>
    </row>
    <row r="43" spans="3:20" ht="15.75" customHeight="1">
      <c r="E43" s="54" t="s">
        <v>126</v>
      </c>
      <c r="F43" s="37">
        <f>IF((F38-H42)&gt;=500,500,IF((F38-H42)&gt;=350,250,IF(F42&gt;100,100,0)))</f>
        <v>500</v>
      </c>
      <c r="G43" s="56"/>
      <c r="H43" s="65">
        <f>F42+F43</f>
        <v>600</v>
      </c>
      <c r="I43" s="66">
        <f>F38-H42-100</f>
        <v>2500</v>
      </c>
    </row>
    <row r="44" spans="3:20" ht="15.75" customHeight="1">
      <c r="E44" s="54" t="s">
        <v>127</v>
      </c>
      <c r="F44" s="37">
        <f>IF((F38-H43)&gt;=500,500,IF((F38-H43)&gt;=350,250,IF(F43&gt;100,100,0)))</f>
        <v>500</v>
      </c>
      <c r="G44" s="56"/>
      <c r="H44" s="65">
        <f>F42+F43+F44</f>
        <v>1100</v>
      </c>
      <c r="I44" s="66">
        <f>F38-H43-100</f>
        <v>2000</v>
      </c>
    </row>
    <row r="45" spans="3:20" ht="15.75" customHeight="1">
      <c r="E45" s="54" t="s">
        <v>128</v>
      </c>
      <c r="F45" s="37">
        <f>IF((F38-H44)&gt;=500,500,IF((F38-H44)&gt;=350,250,IF(F44&gt;100,100,0)))</f>
        <v>500</v>
      </c>
      <c r="G45" s="56"/>
      <c r="H45" s="65">
        <f>F42+F43+F44+F45</f>
        <v>1600</v>
      </c>
      <c r="I45" s="66">
        <f>F38-H44-100</f>
        <v>1500</v>
      </c>
    </row>
    <row r="46" spans="3:20" ht="15.75" customHeight="1">
      <c r="E46" s="54" t="s">
        <v>129</v>
      </c>
      <c r="F46" s="37">
        <f>IF((F38-H45)&gt;=500,500,IF((F38-H45)&gt;=350,250,IF(F45&gt;100,100,0)))</f>
        <v>500</v>
      </c>
      <c r="G46" s="56"/>
      <c r="H46" s="65">
        <f>F42+F43+F44+F45+F46</f>
        <v>2100</v>
      </c>
      <c r="I46" s="66">
        <f>F38-H45-100</f>
        <v>1000</v>
      </c>
    </row>
    <row r="47" spans="3:20" ht="15.75" customHeight="1">
      <c r="E47" s="54" t="s">
        <v>130</v>
      </c>
      <c r="F47" s="37">
        <f>IF((F38-H46)&gt;=500,500,IF((F38-H46)&gt;=350,250,IF(F46&gt;100,100,0)))</f>
        <v>500</v>
      </c>
      <c r="G47" s="56"/>
      <c r="H47" s="65">
        <f>F42+F43+F44+F45+F46+F47</f>
        <v>2600</v>
      </c>
      <c r="I47" s="66">
        <f>F38-H46-100</f>
        <v>500</v>
      </c>
    </row>
    <row r="48" spans="3:20" ht="15.75" customHeight="1">
      <c r="E48" s="54" t="s">
        <v>131</v>
      </c>
      <c r="F48" s="37">
        <f>IF((F38-H47)&gt;=500,500,IF((F38-H47)&gt;=350,250,IF(F47&gt;100,100,0)))</f>
        <v>100</v>
      </c>
      <c r="G48" s="56"/>
      <c r="H48" s="65">
        <f>F42+F43+F44+F45+F46+F47+F48</f>
        <v>2700</v>
      </c>
      <c r="I48" s="66">
        <f>F38-H47-100</f>
        <v>0</v>
      </c>
    </row>
    <row r="49" spans="5:9" ht="15.75" customHeight="1">
      <c r="E49" s="54" t="s">
        <v>132</v>
      </c>
      <c r="F49" s="37">
        <f>IF((F38-H48)&gt;=500,500,IF((F38-H48)&gt;=350,250,IF(F48&gt;100,100,0)))</f>
        <v>0</v>
      </c>
      <c r="G49" s="56"/>
      <c r="H49" s="65">
        <f t="shared" ref="H49:H50" si="14">F42+F43+F44+F45+F46+F47+F48+F49</f>
        <v>2700</v>
      </c>
      <c r="I49" s="66">
        <f>F38-H48-100</f>
        <v>-100</v>
      </c>
    </row>
    <row r="50" spans="5:9" ht="15.75" customHeight="1">
      <c r="E50" s="67" t="s">
        <v>133</v>
      </c>
      <c r="F50" s="68">
        <f>IF((F38-H49)&gt;=500,500,IF((F38-H49)&gt;=350,250,IF(F49&gt;100,100,0)))</f>
        <v>0</v>
      </c>
      <c r="G50" s="69"/>
      <c r="H50" s="70">
        <f t="shared" si="14"/>
        <v>2600</v>
      </c>
      <c r="I50" s="71">
        <f>F38-H49-100</f>
        <v>-100</v>
      </c>
    </row>
    <row r="51" spans="5:9" ht="15.75" customHeight="1"/>
    <row r="52" spans="5:9" ht="15.75" customHeight="1"/>
    <row r="53" spans="5:9" ht="15.75" customHeight="1"/>
    <row r="54" spans="5:9" ht="15.75" customHeight="1"/>
    <row r="55" spans="5:9" ht="15.75" customHeight="1"/>
    <row r="56" spans="5:9" ht="15.75" customHeight="1"/>
    <row r="57" spans="5:9" ht="15.75" customHeight="1"/>
    <row r="58" spans="5:9" ht="15.75" customHeight="1"/>
    <row r="59" spans="5:9" ht="15.75" customHeight="1"/>
    <row r="60" spans="5:9" ht="15.75" customHeight="1"/>
    <row r="61" spans="5:9" ht="15.75" customHeight="1"/>
    <row r="62" spans="5:9" ht="15.75" customHeight="1"/>
    <row r="63" spans="5:9" ht="15.75" customHeight="1"/>
    <row r="64" spans="5:9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o5U4bsw+EHIM4RImG8HJIek20uNPR8L5+yJckm+lVML1re6jWpIdQtYaBGb3kQmIhwXP47iPgSr3T4H5u7zJiQ==" saltValue="LqGxeWrRYBFrOkAJq2kMZQ==" spinCount="100000" sheet="1" objects="1" scenarios="1"/>
  <mergeCells count="1">
    <mergeCell ref="J2:U2"/>
  </mergeCells>
  <pageMargins left="0.7" right="0.7" top="0.75" bottom="0.75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45E55DE7827A4683337FF2FFE5DEBF" ma:contentTypeVersion="16" ma:contentTypeDescription="Create a new document." ma:contentTypeScope="" ma:versionID="c1a1c797c5936224c812dfe4ed7604a3">
  <xsd:schema xmlns:xsd="http://www.w3.org/2001/XMLSchema" xmlns:xs="http://www.w3.org/2001/XMLSchema" xmlns:p="http://schemas.microsoft.com/office/2006/metadata/properties" xmlns:ns2="07b031bb-8e3b-4d77-94fc-fb46aabdbbe8" xmlns:ns3="c50a082c-abab-41fc-8ab2-06d2e6c46e80" targetNamespace="http://schemas.microsoft.com/office/2006/metadata/properties" ma:root="true" ma:fieldsID="ca2afa9c2e42c15808ecec6d25a294a6" ns2:_="" ns3:_="">
    <xsd:import namespace="07b031bb-8e3b-4d77-94fc-fb46aabdbbe8"/>
    <xsd:import namespace="c50a082c-abab-41fc-8ab2-06d2e6c46e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031bb-8e3b-4d77-94fc-fb46aabdbb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ec01c56-b616-4733-b0fb-0b0d0292ff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0a082c-abab-41fc-8ab2-06d2e6c46e80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b2f6bba-adf7-4f53-9dc2-d4fa136a9911}" ma:internalName="TaxCatchAll" ma:showField="CatchAllData" ma:web="c50a082c-abab-41fc-8ab2-06d2e6c46e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b031bb-8e3b-4d77-94fc-fb46aabdbbe8">
      <Terms xmlns="http://schemas.microsoft.com/office/infopath/2007/PartnerControls"/>
    </lcf76f155ced4ddcb4097134ff3c332f>
    <TaxCatchAll xmlns="c50a082c-abab-41fc-8ab2-06d2e6c46e8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36CDE6-90B5-4147-BF9F-6FEF6EA548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b031bb-8e3b-4d77-94fc-fb46aabdbbe8"/>
    <ds:schemaRef ds:uri="c50a082c-abab-41fc-8ab2-06d2e6c46e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AB152C-534C-4B72-945D-D040CC3A5DFE}">
  <ds:schemaRefs>
    <ds:schemaRef ds:uri="http://schemas.microsoft.com/office/2006/metadata/properties"/>
    <ds:schemaRef ds:uri="http://schemas.microsoft.com/office/infopath/2007/PartnerControls"/>
    <ds:schemaRef ds:uri="07b031bb-8e3b-4d77-94fc-fb46aabdbbe8"/>
    <ds:schemaRef ds:uri="c50a082c-abab-41fc-8ab2-06d2e6c46e80"/>
  </ds:schemaRefs>
</ds:datastoreItem>
</file>

<file path=customXml/itemProps3.xml><?xml version="1.0" encoding="utf-8"?>
<ds:datastoreItem xmlns:ds="http://schemas.openxmlformats.org/officeDocument/2006/customXml" ds:itemID="{D3996312-8C2A-4DE1-83A8-71211F5058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Eingabe</vt:lpstr>
      <vt:lpstr>Daten</vt:lpstr>
      <vt:lpstr>abzugoben</vt:lpstr>
      <vt:lpstr>abzugunten</vt:lpstr>
      <vt:lpstr>alpha</vt:lpstr>
      <vt:lpstr>alpharad</vt:lpstr>
      <vt:lpstr>datum_jetzt</vt:lpstr>
      <vt:lpstr>gesamthoehe</vt:lpstr>
      <vt:lpstr>holmform</vt:lpstr>
      <vt:lpstr>leiterabstand</vt:lpstr>
      <vt:lpstr>leiterabstand_print</vt:lpstr>
      <vt:lpstr>leiterhoehe</vt:lpstr>
      <vt:lpstr>leiterlaenge</vt:lpstr>
      <vt:lpstr>leiterlaenge_PreisNetto</vt:lpstr>
      <vt:lpstr>leiterlaenge_print</vt:lpstr>
      <vt:lpstr>leitertyp</vt:lpstr>
      <vt:lpstr>wabstand</vt:lpstr>
      <vt:lpstr>wandabstand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Ryan de Fritas</cp:lastModifiedBy>
  <dcterms:modified xsi:type="dcterms:W3CDTF">2024-02-12T21:44:17Z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0x0101004145E55DE7827A4683337FF2FFE5DEBF</vt:lpwstr>
  </property>
</Properties>
</file>